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oogledrive\Cours\PSL_master_energies\partage\Costs\"/>
    </mc:Choice>
  </mc:AlternateContent>
  <bookViews>
    <workbookView xWindow="0" yWindow="0" windowWidth="19200" windowHeight="7020"/>
  </bookViews>
  <sheets>
    <sheet name="IEA 2015 median case" sheetId="3" r:id="rId1"/>
    <sheet name="Metu" sheetId="1" r:id="rId2"/>
    <sheet name="Irena" sheetId="2" r:id="rId3"/>
  </sheets>
  <calcPr calcId="152511"/>
</workbook>
</file>

<file path=xl/calcChain.xml><?xml version="1.0" encoding="utf-8"?>
<calcChain xmlns="http://schemas.openxmlformats.org/spreadsheetml/2006/main">
  <c r="K5" i="3" l="1"/>
  <c r="S8" i="3" l="1"/>
  <c r="S19" i="3" s="1"/>
  <c r="S15" i="3"/>
  <c r="S20" i="3" s="1"/>
  <c r="S22" i="3" s="1"/>
  <c r="S24" i="3" s="1"/>
  <c r="S26" i="3" s="1"/>
  <c r="S27" i="3" s="1"/>
  <c r="L20" i="3" l="1"/>
  <c r="L22" i="3" s="1"/>
  <c r="L19" i="3"/>
  <c r="L24" i="3" s="1"/>
  <c r="L7" i="3"/>
  <c r="K19" i="3" l="1"/>
  <c r="K15" i="3"/>
  <c r="K20" i="3" s="1"/>
  <c r="K22" i="3" s="1"/>
  <c r="K24" i="3" s="1"/>
  <c r="K12" i="3"/>
  <c r="K7" i="3"/>
  <c r="K8" i="3"/>
  <c r="K3" i="3"/>
  <c r="L15" i="3"/>
  <c r="F10" i="3"/>
  <c r="N16" i="3"/>
  <c r="N19" i="3" s="1"/>
  <c r="N17" i="3"/>
  <c r="F16" i="3"/>
  <c r="F19" i="3" s="1"/>
  <c r="N15" i="3"/>
  <c r="N20" i="3" s="1"/>
  <c r="N22" i="3" s="1"/>
  <c r="O17" i="3"/>
  <c r="P17" i="3"/>
  <c r="R17" i="3"/>
  <c r="Q19" i="3"/>
  <c r="Q24" i="3" s="1"/>
  <c r="R16" i="3"/>
  <c r="R15" i="3"/>
  <c r="R20" i="3" s="1"/>
  <c r="R22" i="3" s="1"/>
  <c r="R12" i="3"/>
  <c r="Q15" i="3"/>
  <c r="Q20" i="3" s="1"/>
  <c r="Q22" i="3" s="1"/>
  <c r="Q12" i="3"/>
  <c r="P15" i="3"/>
  <c r="P20" i="3" s="1"/>
  <c r="P22" i="3" s="1"/>
  <c r="P16" i="3"/>
  <c r="O16" i="3"/>
  <c r="G19" i="3"/>
  <c r="H19" i="3"/>
  <c r="I19" i="3"/>
  <c r="J19" i="3"/>
  <c r="O15" i="3"/>
  <c r="O20" i="3" s="1"/>
  <c r="O22" i="3" s="1"/>
  <c r="D16" i="3"/>
  <c r="E16" i="3"/>
  <c r="C16" i="3"/>
  <c r="D15" i="3"/>
  <c r="D20" i="3" s="1"/>
  <c r="D22" i="3" s="1"/>
  <c r="E15" i="3"/>
  <c r="E20" i="3" s="1"/>
  <c r="E22" i="3" s="1"/>
  <c r="F15" i="3"/>
  <c r="F20" i="3" s="1"/>
  <c r="F22" i="3" s="1"/>
  <c r="G15" i="3"/>
  <c r="G20" i="3" s="1"/>
  <c r="G22" i="3" s="1"/>
  <c r="G24" i="3" s="1"/>
  <c r="H15" i="3"/>
  <c r="H20" i="3" s="1"/>
  <c r="H22" i="3" s="1"/>
  <c r="I15" i="3"/>
  <c r="I20" i="3" s="1"/>
  <c r="I22" i="3" s="1"/>
  <c r="I24" i="3" s="1"/>
  <c r="J15" i="3"/>
  <c r="J20" i="3" s="1"/>
  <c r="J22" i="3" s="1"/>
  <c r="D17" i="3"/>
  <c r="E17" i="3"/>
  <c r="C17" i="3"/>
  <c r="C19" i="3" s="1"/>
  <c r="C8" i="3"/>
  <c r="C7" i="3"/>
  <c r="C5" i="3"/>
  <c r="C15" i="3" s="1"/>
  <c r="C20" i="3" s="1"/>
  <c r="C22" i="3" s="1"/>
  <c r="X6" i="3"/>
  <c r="Y6" i="3" s="1"/>
  <c r="D10" i="3" s="1"/>
  <c r="X3" i="3"/>
  <c r="Y3" i="3" s="1"/>
  <c r="E10" i="3" s="1"/>
  <c r="R19" i="3" l="1"/>
  <c r="N24" i="3"/>
  <c r="P19" i="3"/>
  <c r="P24" i="3" s="1"/>
  <c r="R24" i="3"/>
  <c r="E19" i="3"/>
  <c r="D19" i="3"/>
  <c r="D24" i="3" s="1"/>
  <c r="C24" i="3"/>
  <c r="F24" i="3"/>
  <c r="H24" i="3"/>
  <c r="E24" i="3"/>
  <c r="J24" i="3"/>
  <c r="O19" i="3"/>
  <c r="C10" i="3"/>
  <c r="Z7" i="3"/>
  <c r="Z4" i="3"/>
  <c r="E2" i="1"/>
  <c r="E4" i="1"/>
  <c r="E5" i="1"/>
  <c r="E6" i="1"/>
  <c r="E7" i="1"/>
  <c r="E3" i="1"/>
  <c r="O24" i="3" l="1"/>
  <c r="J4" i="1"/>
  <c r="J5" i="1"/>
  <c r="J6" i="1"/>
  <c r="J7" i="1"/>
  <c r="J3" i="1"/>
  <c r="I4" i="1"/>
  <c r="I5" i="1"/>
  <c r="I6" i="1"/>
  <c r="I7" i="1"/>
  <c r="I3" i="1"/>
  <c r="H4" i="1"/>
  <c r="H5" i="1"/>
  <c r="H6" i="1"/>
  <c r="H7" i="1"/>
  <c r="H3" i="1"/>
  <c r="F4" i="1"/>
  <c r="F5" i="1"/>
  <c r="F6" i="1"/>
  <c r="F7" i="1"/>
  <c r="F3" i="1"/>
  <c r="G4" i="1"/>
  <c r="G5" i="1"/>
  <c r="G6" i="1"/>
  <c r="G7" i="1"/>
  <c r="G3" i="1"/>
</calcChain>
</file>

<file path=xl/sharedStrings.xml><?xml version="1.0" encoding="utf-8"?>
<sst xmlns="http://schemas.openxmlformats.org/spreadsheetml/2006/main" count="93" uniqueCount="87">
  <si>
    <t xml:space="preserve">Plant </t>
  </si>
  <si>
    <t>Advanced Nuclear</t>
  </si>
  <si>
    <t xml:space="preserve">Coal </t>
  </si>
  <si>
    <t>Wind Turbine</t>
  </si>
  <si>
    <t>Gas Turbine (Comb. Cycle)</t>
  </si>
  <si>
    <t>Gas Turbine (Simplex)</t>
  </si>
  <si>
    <t xml:space="preserve">    </t>
  </si>
  <si>
    <t>http://users.metu.edu.tr/sevaiogl/Electricity%20Marketing%20%28Introductory%29.pdf</t>
  </si>
  <si>
    <t>Long term (decades)</t>
  </si>
  <si>
    <t>Fixed cost
($/MW.year)</t>
  </si>
  <si>
    <t>Variable cost
($/MWh)</t>
  </si>
  <si>
    <t>Mid-term (years)</t>
  </si>
  <si>
    <t>Avoidable costs
($/MWh)</t>
  </si>
  <si>
    <t>Sunk costs
(Million$/MW)</t>
  </si>
  <si>
    <t>Variable costs
($/MWh)</t>
  </si>
  <si>
    <t>Short term (days)</t>
  </si>
  <si>
    <t>Hydro</t>
  </si>
  <si>
    <t>Wind</t>
  </si>
  <si>
    <t>Photovoltaic</t>
  </si>
  <si>
    <t>Installed costs
(Million$/MW)</t>
  </si>
  <si>
    <t>Op&amp;Maint. Costs (%Inst./year)</t>
  </si>
  <si>
    <t>Capacity factor</t>
  </si>
  <si>
    <t>1-10</t>
  </si>
  <si>
    <t>2-5</t>
  </si>
  <si>
    <t>25%-50%</t>
  </si>
  <si>
    <t>Lifetime</t>
  </si>
  <si>
    <t>Carbon price (USD/Tonne)</t>
  </si>
  <si>
    <t>http://www.ipcc-nggip.iges.or.jp/public/2006gl/pdf/2_Volume2/V2_2_Ch2_Stationary_Combustion.pdf</t>
  </si>
  <si>
    <t>Coal</t>
  </si>
  <si>
    <t>USD/tonne</t>
  </si>
  <si>
    <t>USD/GJ</t>
  </si>
  <si>
    <t>GJ/tonne</t>
  </si>
  <si>
    <t>MWh/tonne</t>
  </si>
  <si>
    <t>USD/MWh</t>
  </si>
  <si>
    <t>USD/MMBtu</t>
  </si>
  <si>
    <t>Coal 2010</t>
  </si>
  <si>
    <t>Coal 2015</t>
  </si>
  <si>
    <t>Gas 2010</t>
  </si>
  <si>
    <t>GJ/MMBtu</t>
  </si>
  <si>
    <t>Gas 2015</t>
  </si>
  <si>
    <t>MWh/MMBtu</t>
  </si>
  <si>
    <t>Nuclear 2010</t>
  </si>
  <si>
    <t>Onshore 2010</t>
  </si>
  <si>
    <t>TGV</t>
  </si>
  <si>
    <t>SC/USC coal</t>
  </si>
  <si>
    <t>Total fixed cost (USD/MWh)</t>
  </si>
  <si>
    <t>Carbon emission factor (kg/GJt)</t>
  </si>
  <si>
    <t>Interest rate (%)</t>
  </si>
  <si>
    <t>Annuity (USD/MWe.year)</t>
  </si>
  <si>
    <t>Net capacity (MWe)</t>
  </si>
  <si>
    <t>Electrical conversion efficiency (%)</t>
  </si>
  <si>
    <t>Overnight cost (USD/kWe)</t>
  </si>
  <si>
    <t>Fixed O&amp;M cost (USD/MWe)</t>
  </si>
  <si>
    <t>Variable O&amp;M cost (USD/MWhe)</t>
  </si>
  <si>
    <t>Capacity factor (%)</t>
  </si>
  <si>
    <t>LCOE (Levelized Cost of Energy, Long Term Marginal Cost, USD/MWh)</t>
  </si>
  <si>
    <t>Data</t>
  </si>
  <si>
    <t>Computations</t>
  </si>
  <si>
    <t>Total fixed cost (USD/MW.year)</t>
  </si>
  <si>
    <t>Total variable cost (USD/MWhe)</t>
  </si>
  <si>
    <t>Fuel costs (USD/MWht)</t>
  </si>
  <si>
    <t>Nuclear</t>
  </si>
  <si>
    <t>Hydropower</t>
  </si>
  <si>
    <t>Natural Gas</t>
  </si>
  <si>
    <t>OCGT (extrapolated)</t>
  </si>
  <si>
    <t>CCGT</t>
  </si>
  <si>
    <t>PV</t>
  </si>
  <si>
    <t>Residential</t>
  </si>
  <si>
    <t>Commercial</t>
  </si>
  <si>
    <t>Large</t>
  </si>
  <si>
    <t>Onshore</t>
  </si>
  <si>
    <t>Offshore (extrapolated)</t>
  </si>
  <si>
    <t>run-of-the-river (source Irena)</t>
  </si>
  <si>
    <t xml:space="preserve">https://www.oecd-nea.org/ndd/pubs/2015/7057-proj-costs-electricity-2015.pdf
</t>
  </si>
  <si>
    <t>http://www.worldenergyoutlook.org/media/weowebsite/energymodel/ProjectedCostsofGeneratingElectricity2010.pdf</t>
  </si>
  <si>
    <t>https://www.irena.org/documentdownloads/publications/re_technologies_cost_analysis-hydropower.pdf</t>
  </si>
  <si>
    <t>Fuel cost (USD/MWhe)</t>
  </si>
  <si>
    <t>Carbon price (USD/MWhe)</t>
  </si>
  <si>
    <t>IEA median case 2010</t>
  </si>
  <si>
    <t>Hansen &amp; Percebois</t>
  </si>
  <si>
    <t>Transmission</t>
  </si>
  <si>
    <t>Line (per km)</t>
  </si>
  <si>
    <t>Conversions</t>
  </si>
  <si>
    <t>Transmission costs for 1000 km of line</t>
  </si>
  <si>
    <t>€/MWh</t>
  </si>
  <si>
    <t>€/boe</t>
  </si>
  <si>
    <t>Ressrouces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</si>
</sst>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#,##0.00000"/>
    <numFmt numFmtId="167" formatCode="0.00000"/>
  </numFmts>
  <fonts count="8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rgb="FF000000"/>
      <name val="Arial"/>
    </font>
    <font>
      <u/>
      <sz val="10"/>
      <color theme="10"/>
      <name val="Arial"/>
    </font>
    <font>
      <u/>
      <sz val="9"/>
      <color theme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8">
    <xf numFmtId="0" fontId="0" fillId="0" borderId="0" xfId="0" applyFont="1" applyAlignment="1"/>
    <xf numFmtId="0" fontId="1" fillId="0" borderId="1" xfId="0" applyFont="1" applyBorder="1" applyAlignment="1"/>
    <xf numFmtId="0" fontId="2" fillId="2" borderId="1" xfId="0" applyFont="1" applyFill="1" applyBorder="1" applyAlignment="1"/>
    <xf numFmtId="0" fontId="1" fillId="0" borderId="0" xfId="0" applyFont="1" applyAlignment="1"/>
    <xf numFmtId="0" fontId="1" fillId="0" borderId="1" xfId="0" applyFont="1" applyBorder="1" applyAlignment="1">
      <alignment wrapText="1"/>
    </xf>
    <xf numFmtId="164" fontId="2" fillId="2" borderId="1" xfId="0" applyNumberFormat="1" applyFont="1" applyFill="1" applyBorder="1" applyAlignment="1"/>
    <xf numFmtId="164" fontId="1" fillId="0" borderId="1" xfId="0" applyNumberFormat="1" applyFont="1" applyBorder="1" applyAlignment="1"/>
    <xf numFmtId="0" fontId="5" fillId="0" borderId="0" xfId="2" applyFont="1" applyFill="1" applyBorder="1" applyAlignment="1"/>
    <xf numFmtId="0" fontId="1" fillId="0" borderId="5" xfId="0" applyFont="1" applyFill="1" applyBorder="1" applyAlignment="1">
      <alignment wrapText="1"/>
    </xf>
    <xf numFmtId="164" fontId="0" fillId="0" borderId="5" xfId="0" applyNumberFormat="1" applyFont="1" applyBorder="1" applyAlignment="1"/>
    <xf numFmtId="164" fontId="0" fillId="0" borderId="7" xfId="0" applyNumberFormat="1" applyFont="1" applyBorder="1" applyAlignment="1"/>
    <xf numFmtId="0" fontId="1" fillId="0" borderId="8" xfId="0" applyFont="1" applyBorder="1" applyAlignment="1">
      <alignment wrapText="1"/>
    </xf>
    <xf numFmtId="164" fontId="2" fillId="2" borderId="8" xfId="0" applyNumberFormat="1" applyFont="1" applyFill="1" applyBorder="1" applyAlignment="1"/>
    <xf numFmtId="164" fontId="1" fillId="0" borderId="8" xfId="0" applyNumberFormat="1" applyFont="1" applyBorder="1" applyAlignment="1"/>
    <xf numFmtId="0" fontId="1" fillId="0" borderId="9" xfId="0" applyFont="1" applyFill="1" applyBorder="1" applyAlignment="1">
      <alignment wrapText="1"/>
    </xf>
    <xf numFmtId="0" fontId="0" fillId="0" borderId="9" xfId="0" applyFont="1" applyBorder="1" applyAlignment="1">
      <alignment wrapText="1"/>
    </xf>
    <xf numFmtId="165" fontId="0" fillId="0" borderId="9" xfId="1" applyNumberFormat="1" applyFont="1" applyBorder="1" applyAlignment="1"/>
    <xf numFmtId="164" fontId="0" fillId="0" borderId="9" xfId="0" applyNumberFormat="1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6" xfId="0" applyFont="1" applyBorder="1" applyAlignment="1"/>
    <xf numFmtId="165" fontId="0" fillId="0" borderId="11" xfId="1" applyNumberFormat="1" applyFont="1" applyBorder="1" applyAlignment="1"/>
    <xf numFmtId="164" fontId="0" fillId="0" borderId="11" xfId="0" applyNumberFormat="1" applyFont="1" applyBorder="1" applyAlignment="1"/>
    <xf numFmtId="0" fontId="0" fillId="0" borderId="9" xfId="0" quotePrefix="1" applyFont="1" applyBorder="1" applyAlignment="1">
      <alignment horizontal="right"/>
    </xf>
    <xf numFmtId="9" fontId="0" fillId="0" borderId="9" xfId="0" applyNumberFormat="1" applyFont="1" applyBorder="1" applyAlignment="1"/>
    <xf numFmtId="0" fontId="0" fillId="0" borderId="10" xfId="0" applyFont="1" applyBorder="1" applyAlignment="1">
      <alignment wrapText="1"/>
    </xf>
    <xf numFmtId="0" fontId="0" fillId="0" borderId="3" xfId="0" applyFont="1" applyBorder="1" applyAlignment="1">
      <alignment wrapText="1"/>
    </xf>
    <xf numFmtId="9" fontId="0" fillId="0" borderId="5" xfId="0" applyNumberFormat="1" applyFont="1" applyBorder="1" applyAlignment="1">
      <alignment horizontal="right"/>
    </xf>
    <xf numFmtId="0" fontId="0" fillId="0" borderId="5" xfId="0" quotePrefix="1" applyFont="1" applyBorder="1" applyAlignment="1">
      <alignment horizontal="right"/>
    </xf>
    <xf numFmtId="0" fontId="0" fillId="0" borderId="11" xfId="0" quotePrefix="1" applyFont="1" applyBorder="1" applyAlignment="1">
      <alignment horizontal="right"/>
    </xf>
    <xf numFmtId="0" fontId="0" fillId="0" borderId="11" xfId="0" applyFont="1" applyBorder="1" applyAlignment="1"/>
    <xf numFmtId="9" fontId="0" fillId="0" borderId="7" xfId="0" applyNumberFormat="1" applyFont="1" applyBorder="1" applyAlignment="1">
      <alignment horizontal="right"/>
    </xf>
    <xf numFmtId="0" fontId="0" fillId="0" borderId="0" xfId="0" applyFont="1" applyAlignment="1">
      <alignment wrapText="1"/>
    </xf>
    <xf numFmtId="9" fontId="0" fillId="0" borderId="0" xfId="0" applyNumberFormat="1" applyFont="1" applyAlignment="1"/>
    <xf numFmtId="3" fontId="0" fillId="0" borderId="0" xfId="0" applyNumberFormat="1" applyFont="1" applyAlignment="1"/>
    <xf numFmtId="3" fontId="0" fillId="0" borderId="0" xfId="0" applyNumberFormat="1" applyFont="1" applyAlignment="1">
      <alignment wrapText="1"/>
    </xf>
    <xf numFmtId="0" fontId="0" fillId="0" borderId="0" xfId="0"/>
    <xf numFmtId="1" fontId="0" fillId="0" borderId="0" xfId="0" applyNumberFormat="1" applyFont="1" applyAlignment="1"/>
    <xf numFmtId="3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/>
    <xf numFmtId="9" fontId="0" fillId="0" borderId="0" xfId="0" applyNumberFormat="1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3" fontId="0" fillId="0" borderId="16" xfId="0" applyNumberFormat="1" applyFont="1" applyBorder="1" applyAlignment="1">
      <alignment wrapText="1"/>
    </xf>
    <xf numFmtId="3" fontId="0" fillId="0" borderId="17" xfId="0" applyNumberFormat="1" applyFont="1" applyBorder="1" applyAlignment="1"/>
    <xf numFmtId="9" fontId="0" fillId="0" borderId="16" xfId="0" applyNumberFormat="1" applyFont="1" applyBorder="1" applyAlignment="1">
      <alignment wrapText="1"/>
    </xf>
    <xf numFmtId="9" fontId="0" fillId="0" borderId="17" xfId="0" applyNumberFormat="1" applyFont="1" applyBorder="1" applyAlignment="1"/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6" xfId="0" applyFont="1" applyBorder="1" applyAlignment="1">
      <alignment wrapText="1"/>
    </xf>
    <xf numFmtId="4" fontId="0" fillId="0" borderId="16" xfId="0" applyNumberFormat="1" applyFont="1" applyBorder="1" applyAlignment="1">
      <alignment wrapText="1"/>
    </xf>
    <xf numFmtId="0" fontId="0" fillId="0" borderId="17" xfId="0" applyFont="1" applyBorder="1" applyAlignment="1">
      <alignment wrapText="1"/>
    </xf>
    <xf numFmtId="9" fontId="0" fillId="0" borderId="18" xfId="0" applyNumberFormat="1" applyFont="1" applyBorder="1" applyAlignment="1"/>
    <xf numFmtId="9" fontId="0" fillId="0" borderId="19" xfId="0" applyNumberFormat="1" applyFont="1" applyBorder="1" applyAlignment="1"/>
    <xf numFmtId="9" fontId="0" fillId="0" borderId="20" xfId="0" applyNumberFormat="1" applyFont="1" applyBorder="1" applyAlignment="1"/>
    <xf numFmtId="0" fontId="0" fillId="0" borderId="13" xfId="0" applyFont="1" applyBorder="1" applyAlignment="1"/>
    <xf numFmtId="3" fontId="7" fillId="0" borderId="16" xfId="0" applyNumberFormat="1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8" xfId="0" applyFont="1" applyBorder="1" applyAlignment="1"/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18" xfId="0" applyFont="1" applyBorder="1" applyAlignment="1">
      <alignment wrapText="1"/>
    </xf>
    <xf numFmtId="4" fontId="0" fillId="0" borderId="17" xfId="0" applyNumberFormat="1" applyFont="1" applyBorder="1" applyAlignment="1">
      <alignment wrapText="1"/>
    </xf>
    <xf numFmtId="0" fontId="0" fillId="0" borderId="22" xfId="0" applyFont="1" applyBorder="1" applyAlignment="1"/>
    <xf numFmtId="3" fontId="0" fillId="0" borderId="23" xfId="0" applyNumberFormat="1" applyFont="1" applyBorder="1" applyAlignment="1"/>
    <xf numFmtId="9" fontId="0" fillId="0" borderId="23" xfId="0" applyNumberFormat="1" applyFont="1" applyBorder="1" applyAlignment="1"/>
    <xf numFmtId="0" fontId="0" fillId="0" borderId="23" xfId="0" applyFont="1" applyBorder="1" applyAlignment="1"/>
    <xf numFmtId="0" fontId="0" fillId="0" borderId="23" xfId="0" applyFont="1" applyBorder="1" applyAlignment="1">
      <alignment wrapText="1"/>
    </xf>
    <xf numFmtId="9" fontId="0" fillId="0" borderId="22" xfId="0" applyNumberFormat="1" applyFont="1" applyBorder="1" applyAlignment="1"/>
    <xf numFmtId="2" fontId="0" fillId="0" borderId="23" xfId="0" applyNumberFormat="1" applyFont="1" applyBorder="1" applyAlignment="1"/>
    <xf numFmtId="3" fontId="0" fillId="0" borderId="16" xfId="0" applyNumberFormat="1" applyFont="1" applyBorder="1" applyAlignment="1"/>
    <xf numFmtId="9" fontId="0" fillId="0" borderId="16" xfId="0" applyNumberFormat="1" applyFont="1" applyBorder="1" applyAlignment="1"/>
    <xf numFmtId="164" fontId="0" fillId="0" borderId="17" xfId="0" applyNumberFormat="1" applyFont="1" applyBorder="1" applyAlignment="1"/>
    <xf numFmtId="0" fontId="0" fillId="0" borderId="13" xfId="0" applyFont="1" applyBorder="1" applyAlignment="1">
      <alignment wrapText="1"/>
    </xf>
    <xf numFmtId="3" fontId="0" fillId="0" borderId="14" xfId="0" applyNumberFormat="1" applyFont="1" applyBorder="1" applyAlignment="1">
      <alignment wrapText="1"/>
    </xf>
    <xf numFmtId="3" fontId="0" fillId="0" borderId="15" xfId="0" applyNumberFormat="1" applyFont="1" applyBorder="1" applyAlignment="1">
      <alignment wrapText="1"/>
    </xf>
    <xf numFmtId="3" fontId="0" fillId="0" borderId="17" xfId="0" applyNumberFormat="1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6" fillId="0" borderId="24" xfId="0" applyFont="1" applyBorder="1" applyAlignment="1">
      <alignment wrapText="1"/>
    </xf>
    <xf numFmtId="1" fontId="6" fillId="0" borderId="25" xfId="0" applyNumberFormat="1" applyFont="1" applyBorder="1" applyAlignment="1"/>
    <xf numFmtId="1" fontId="6" fillId="0" borderId="26" xfId="0" applyNumberFormat="1" applyFont="1" applyBorder="1" applyAlignment="1"/>
    <xf numFmtId="3" fontId="0" fillId="0" borderId="13" xfId="0" applyNumberFormat="1" applyFont="1" applyBorder="1" applyAlignment="1">
      <alignment wrapText="1"/>
    </xf>
    <xf numFmtId="1" fontId="6" fillId="0" borderId="24" xfId="0" applyNumberFormat="1" applyFont="1" applyBorder="1" applyAlignment="1"/>
    <xf numFmtId="3" fontId="0" fillId="0" borderId="21" xfId="0" applyNumberFormat="1" applyFont="1" applyBorder="1" applyAlignment="1">
      <alignment wrapText="1"/>
    </xf>
    <xf numFmtId="3" fontId="0" fillId="0" borderId="23" xfId="0" applyNumberFormat="1" applyFont="1" applyBorder="1" applyAlignment="1">
      <alignment wrapText="1"/>
    </xf>
    <xf numFmtId="1" fontId="6" fillId="0" borderId="12" xfId="0" applyNumberFormat="1" applyFont="1" applyBorder="1" applyAlignment="1"/>
    <xf numFmtId="0" fontId="7" fillId="0" borderId="12" xfId="0" applyFont="1" applyBorder="1" applyAlignment="1"/>
    <xf numFmtId="0" fontId="0" fillId="0" borderId="26" xfId="0" applyFont="1" applyBorder="1" applyAlignment="1"/>
    <xf numFmtId="166" fontId="0" fillId="0" borderId="0" xfId="0" applyNumberFormat="1" applyFont="1" applyAlignment="1"/>
    <xf numFmtId="2" fontId="0" fillId="0" borderId="0" xfId="0" applyNumberFormat="1" applyFont="1" applyAlignment="1"/>
    <xf numFmtId="167" fontId="0" fillId="0" borderId="0" xfId="0" applyNumberFormat="1" applyFont="1" applyAlignment="1"/>
    <xf numFmtId="0" fontId="0" fillId="0" borderId="10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textRotation="90"/>
    </xf>
    <xf numFmtId="0" fontId="0" fillId="0" borderId="26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2" xfId="0" applyFont="1" applyBorder="1" applyAlignment="1"/>
    <xf numFmtId="0" fontId="7" fillId="0" borderId="22" xfId="0" applyFont="1" applyBorder="1" applyAlignment="1">
      <alignment wrapText="1"/>
    </xf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6" fillId="0" borderId="0" xfId="0" applyFont="1" applyAlignment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sers.metu.edu.tr/sevaiogl/Electricity%20Marketing%20%28Introductory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workbookViewId="0">
      <selection activeCell="U9" sqref="U9"/>
    </sheetView>
  </sheetViews>
  <sheetFormatPr baseColWidth="10" defaultRowHeight="12.5" x14ac:dyDescent="0.25"/>
  <cols>
    <col min="1" max="1" width="3.6328125" customWidth="1"/>
    <col min="2" max="2" width="29" customWidth="1"/>
    <col min="3" max="7" width="12.1796875" customWidth="1"/>
    <col min="8" max="8" width="12.1796875" hidden="1" customWidth="1"/>
    <col min="9" max="11" width="12.1796875" customWidth="1"/>
    <col min="12" max="12" width="13.81640625" customWidth="1"/>
    <col min="13" max="19" width="12.08984375" customWidth="1"/>
    <col min="28" max="28" width="10.90625" customWidth="1"/>
  </cols>
  <sheetData>
    <row r="1" spans="1:26" ht="16.5" customHeight="1" thickBot="1" x14ac:dyDescent="0.3">
      <c r="B1" s="56"/>
      <c r="C1" s="93" t="s">
        <v>63</v>
      </c>
      <c r="D1" s="94"/>
      <c r="E1" s="87" t="s">
        <v>28</v>
      </c>
      <c r="F1" s="87" t="s">
        <v>61</v>
      </c>
      <c r="G1" s="95" t="s">
        <v>66</v>
      </c>
      <c r="H1" s="96"/>
      <c r="I1" s="97"/>
      <c r="J1" s="95" t="s">
        <v>17</v>
      </c>
      <c r="K1" s="97"/>
      <c r="L1" s="88" t="s">
        <v>62</v>
      </c>
      <c r="N1" s="101" t="s">
        <v>78</v>
      </c>
      <c r="O1" s="100" t="s">
        <v>79</v>
      </c>
      <c r="P1" s="100"/>
      <c r="Q1" s="100"/>
      <c r="R1" s="99"/>
      <c r="S1" s="101" t="s">
        <v>80</v>
      </c>
      <c r="U1" s="56" t="s">
        <v>82</v>
      </c>
      <c r="V1" s="103"/>
      <c r="W1" s="103"/>
      <c r="X1" s="103"/>
      <c r="Y1" s="103"/>
      <c r="Z1" s="104"/>
    </row>
    <row r="2" spans="1:26" ht="26" customHeight="1" thickBot="1" x14ac:dyDescent="0.3">
      <c r="B2" s="59"/>
      <c r="C2" s="62" t="s">
        <v>64</v>
      </c>
      <c r="D2" s="61" t="s">
        <v>65</v>
      </c>
      <c r="E2" s="64"/>
      <c r="F2" s="64"/>
      <c r="G2" s="62" t="s">
        <v>67</v>
      </c>
      <c r="H2" s="60" t="s">
        <v>68</v>
      </c>
      <c r="I2" s="61" t="s">
        <v>69</v>
      </c>
      <c r="J2" s="62" t="s">
        <v>70</v>
      </c>
      <c r="K2" s="61" t="s">
        <v>71</v>
      </c>
      <c r="L2" s="61" t="s">
        <v>72</v>
      </c>
      <c r="M2" s="33"/>
      <c r="N2" s="102" t="s">
        <v>44</v>
      </c>
      <c r="O2" s="61" t="s">
        <v>35</v>
      </c>
      <c r="P2" s="61" t="s">
        <v>41</v>
      </c>
      <c r="Q2" s="61" t="s">
        <v>42</v>
      </c>
      <c r="R2" s="61" t="s">
        <v>43</v>
      </c>
      <c r="S2" s="102" t="s">
        <v>81</v>
      </c>
      <c r="T2" s="33"/>
      <c r="U2" s="48"/>
      <c r="V2" s="42" t="s">
        <v>29</v>
      </c>
      <c r="W2" s="42" t="s">
        <v>30</v>
      </c>
      <c r="X2" s="42" t="s">
        <v>31</v>
      </c>
      <c r="Y2" s="42" t="s">
        <v>32</v>
      </c>
      <c r="Z2" s="49" t="s">
        <v>33</v>
      </c>
    </row>
    <row r="3" spans="1:26" ht="14" customHeight="1" x14ac:dyDescent="0.25">
      <c r="A3" s="98" t="s">
        <v>56</v>
      </c>
      <c r="B3" s="50" t="s">
        <v>49</v>
      </c>
      <c r="C3" s="44">
        <v>150</v>
      </c>
      <c r="D3" s="45">
        <v>475</v>
      </c>
      <c r="E3" s="65">
        <v>772</v>
      </c>
      <c r="F3" s="65">
        <v>1300</v>
      </c>
      <c r="G3" s="71">
        <v>5.0000000000000001E-3</v>
      </c>
      <c r="H3" s="40">
        <v>0.22</v>
      </c>
      <c r="I3" s="45">
        <v>2.5</v>
      </c>
      <c r="J3" s="71">
        <v>20</v>
      </c>
      <c r="K3" s="45">
        <f>J3*5/2</f>
        <v>50</v>
      </c>
      <c r="L3" s="49"/>
      <c r="N3" s="67"/>
      <c r="O3" s="49"/>
      <c r="P3" s="49"/>
      <c r="Q3" s="49"/>
      <c r="R3" s="49"/>
      <c r="S3" s="67"/>
      <c r="U3" s="48" t="s">
        <v>35</v>
      </c>
      <c r="V3" s="42">
        <v>90</v>
      </c>
      <c r="W3" s="42">
        <v>3.6</v>
      </c>
      <c r="X3" s="42">
        <f>V3/W3</f>
        <v>25</v>
      </c>
      <c r="Y3" s="42">
        <f>X3/3.6</f>
        <v>6.9444444444444446</v>
      </c>
      <c r="Z3" s="49"/>
    </row>
    <row r="4" spans="1:26" ht="14" customHeight="1" x14ac:dyDescent="0.25">
      <c r="A4" s="98"/>
      <c r="B4" s="50" t="s">
        <v>50</v>
      </c>
      <c r="C4" s="46">
        <v>0.4</v>
      </c>
      <c r="D4" s="47">
        <v>0.59</v>
      </c>
      <c r="E4" s="66">
        <v>0.45</v>
      </c>
      <c r="F4" s="66">
        <v>0.33</v>
      </c>
      <c r="G4" s="48"/>
      <c r="H4" s="42"/>
      <c r="I4" s="49"/>
      <c r="J4" s="48"/>
      <c r="K4" s="49"/>
      <c r="L4" s="49"/>
      <c r="N4" s="67">
        <v>0.41099999999999998</v>
      </c>
      <c r="O4" s="49">
        <v>0.41</v>
      </c>
      <c r="P4" s="49">
        <v>0.33</v>
      </c>
      <c r="Q4" s="49"/>
      <c r="R4" s="49">
        <v>0.56999999999999995</v>
      </c>
      <c r="S4" s="67"/>
      <c r="T4" s="34"/>
      <c r="U4" s="48" t="s">
        <v>36</v>
      </c>
      <c r="V4" s="42">
        <v>101</v>
      </c>
      <c r="W4" s="42"/>
      <c r="X4" s="42"/>
      <c r="Y4" s="42"/>
      <c r="Z4" s="49">
        <f>V4/Y3</f>
        <v>14.543999999999999</v>
      </c>
    </row>
    <row r="5" spans="1:26" ht="14" customHeight="1" x14ac:dyDescent="0.25">
      <c r="A5" s="98"/>
      <c r="B5" s="50" t="s">
        <v>51</v>
      </c>
      <c r="C5" s="44">
        <f>ROUND(520*D5/763,0)</f>
        <v>691</v>
      </c>
      <c r="D5" s="45">
        <v>1014</v>
      </c>
      <c r="E5" s="65">
        <v>2264</v>
      </c>
      <c r="F5" s="65">
        <v>4896</v>
      </c>
      <c r="G5" s="71">
        <v>2297</v>
      </c>
      <c r="H5" s="40">
        <v>1696</v>
      </c>
      <c r="I5" s="45">
        <v>1436</v>
      </c>
      <c r="J5" s="71">
        <v>1804</v>
      </c>
      <c r="K5" s="45">
        <f>4343*1677/1804</f>
        <v>4037.2566518847007</v>
      </c>
      <c r="L5" s="45">
        <v>5000</v>
      </c>
      <c r="N5" s="65">
        <v>2133.4899999999998</v>
      </c>
      <c r="O5" s="45">
        <v>1523</v>
      </c>
      <c r="P5" s="45">
        <v>2928</v>
      </c>
      <c r="Q5" s="45">
        <v>1677</v>
      </c>
      <c r="R5" s="45">
        <v>763</v>
      </c>
      <c r="S5" s="65">
        <v>1</v>
      </c>
      <c r="U5" s="48"/>
      <c r="V5" s="42" t="s">
        <v>34</v>
      </c>
      <c r="W5" s="42" t="s">
        <v>30</v>
      </c>
      <c r="X5" s="42" t="s">
        <v>38</v>
      </c>
      <c r="Y5" s="42" t="s">
        <v>40</v>
      </c>
      <c r="Z5" s="49"/>
    </row>
    <row r="6" spans="1:26" ht="14" customHeight="1" x14ac:dyDescent="0.25">
      <c r="A6" s="98"/>
      <c r="B6" s="50" t="s">
        <v>25</v>
      </c>
      <c r="C6" s="48">
        <v>30</v>
      </c>
      <c r="D6" s="49">
        <v>30</v>
      </c>
      <c r="E6" s="67">
        <v>40</v>
      </c>
      <c r="F6" s="67">
        <v>60</v>
      </c>
      <c r="G6" s="48">
        <v>25</v>
      </c>
      <c r="H6" s="42">
        <v>25</v>
      </c>
      <c r="I6" s="49">
        <v>25</v>
      </c>
      <c r="J6" s="48">
        <v>25</v>
      </c>
      <c r="K6" s="49">
        <v>20</v>
      </c>
      <c r="L6" s="49">
        <v>80</v>
      </c>
      <c r="N6" s="67">
        <v>40</v>
      </c>
      <c r="O6" s="49">
        <v>40</v>
      </c>
      <c r="P6" s="49">
        <v>60</v>
      </c>
      <c r="Q6" s="49">
        <v>25</v>
      </c>
      <c r="R6" s="49">
        <v>30</v>
      </c>
      <c r="S6" s="67">
        <v>60</v>
      </c>
      <c r="U6" s="48" t="s">
        <v>37</v>
      </c>
      <c r="V6" s="42">
        <v>10.3</v>
      </c>
      <c r="W6" s="42">
        <v>9.76</v>
      </c>
      <c r="X6" s="42">
        <f>V6/W6</f>
        <v>1.0553278688524592</v>
      </c>
      <c r="Y6" s="42">
        <f>X6/3.6</f>
        <v>0.29314663023679421</v>
      </c>
      <c r="Z6" s="49"/>
    </row>
    <row r="7" spans="1:26" ht="14" customHeight="1" thickBot="1" x14ac:dyDescent="0.3">
      <c r="A7" s="98"/>
      <c r="B7" s="50" t="s">
        <v>52</v>
      </c>
      <c r="C7" s="44">
        <f>D7</f>
        <v>29435</v>
      </c>
      <c r="D7" s="45">
        <v>29435</v>
      </c>
      <c r="E7" s="65">
        <v>34542</v>
      </c>
      <c r="F7" s="65">
        <v>68800</v>
      </c>
      <c r="G7" s="71">
        <v>28333</v>
      </c>
      <c r="H7" s="40">
        <v>21870</v>
      </c>
      <c r="I7" s="45">
        <v>26667</v>
      </c>
      <c r="J7" s="71">
        <v>45475</v>
      </c>
      <c r="K7" s="45">
        <f>(1-J8/(J8+J7/(J12*8760)))*31.5*8760*J12</f>
        <v>58611.309213612403</v>
      </c>
      <c r="L7" s="65">
        <f>2%*1000*L5</f>
        <v>100000</v>
      </c>
      <c r="N7" s="65"/>
      <c r="O7" s="45">
        <v>15000</v>
      </c>
      <c r="P7" s="65">
        <v>65000</v>
      </c>
      <c r="Q7" s="65"/>
      <c r="R7" s="65">
        <v>11000</v>
      </c>
      <c r="S7" s="65">
        <v>10</v>
      </c>
      <c r="T7" s="35"/>
      <c r="U7" s="59" t="s">
        <v>39</v>
      </c>
      <c r="V7" s="105">
        <v>11.1</v>
      </c>
      <c r="W7" s="105"/>
      <c r="X7" s="105"/>
      <c r="Y7" s="105"/>
      <c r="Z7" s="106">
        <f>V7/Y6</f>
        <v>37.865009708737858</v>
      </c>
    </row>
    <row r="8" spans="1:26" ht="14" customHeight="1" x14ac:dyDescent="0.25">
      <c r="A8" s="98"/>
      <c r="B8" s="50" t="s">
        <v>53</v>
      </c>
      <c r="C8" s="50">
        <f>ROUND(0.4*D8/1.5,1)</f>
        <v>0.7</v>
      </c>
      <c r="D8" s="49">
        <v>2.7</v>
      </c>
      <c r="E8" s="67">
        <v>3.4</v>
      </c>
      <c r="F8" s="67">
        <v>6.9</v>
      </c>
      <c r="G8" s="48">
        <v>0</v>
      </c>
      <c r="H8" s="42">
        <v>0</v>
      </c>
      <c r="I8" s="49">
        <v>0</v>
      </c>
      <c r="J8" s="48">
        <v>5.9</v>
      </c>
      <c r="K8" s="73">
        <f>J8/(J8+J7/(J12*8760))*31.5</f>
        <v>7.6043259892317367</v>
      </c>
      <c r="L8" s="49"/>
      <c r="N8" s="67">
        <v>6.02</v>
      </c>
      <c r="O8" s="49">
        <v>2</v>
      </c>
      <c r="P8" s="49">
        <v>1.2</v>
      </c>
      <c r="Q8" s="49">
        <v>14.9</v>
      </c>
      <c r="R8" s="49">
        <v>1.5</v>
      </c>
      <c r="S8" s="67">
        <f>1%*30/500</f>
        <v>5.9999999999999995E-4</v>
      </c>
    </row>
    <row r="9" spans="1:26" ht="14" customHeight="1" x14ac:dyDescent="0.3">
      <c r="A9" s="98"/>
      <c r="B9" s="50" t="s">
        <v>46</v>
      </c>
      <c r="C9" s="50">
        <v>56.1</v>
      </c>
      <c r="D9" s="52">
        <v>56.1</v>
      </c>
      <c r="E9" s="67">
        <v>94.6</v>
      </c>
      <c r="F9" s="67"/>
      <c r="G9" s="48"/>
      <c r="H9" s="42"/>
      <c r="I9" s="49"/>
      <c r="J9" s="48"/>
      <c r="K9" s="49"/>
      <c r="L9" s="49"/>
      <c r="N9" s="67"/>
      <c r="O9" s="49">
        <v>93</v>
      </c>
      <c r="P9" s="49"/>
      <c r="Q9" s="49"/>
      <c r="R9" s="49">
        <v>56</v>
      </c>
      <c r="S9" s="67"/>
      <c r="U9" s="107" t="s">
        <v>86</v>
      </c>
    </row>
    <row r="10" spans="1:26" ht="14" customHeight="1" x14ac:dyDescent="0.25">
      <c r="A10" s="98"/>
      <c r="B10" s="57" t="s">
        <v>60</v>
      </c>
      <c r="C10" s="51">
        <f>ROUND($V$7/$Y$6,2)</f>
        <v>37.869999999999997</v>
      </c>
      <c r="D10" s="63">
        <f>ROUND($V$7/$Y$6,2)</f>
        <v>37.869999999999997</v>
      </c>
      <c r="E10" s="67">
        <f>ROUND($V$4/$Y$3,2)</f>
        <v>14.54</v>
      </c>
      <c r="F10" s="70">
        <f>9.33*F4</f>
        <v>3.0789</v>
      </c>
      <c r="G10" s="48"/>
      <c r="H10" s="42"/>
      <c r="I10" s="49"/>
      <c r="J10" s="48"/>
      <c r="K10" s="49"/>
      <c r="L10" s="49"/>
      <c r="N10" s="67">
        <v>18.21</v>
      </c>
      <c r="O10" s="49">
        <v>13</v>
      </c>
      <c r="P10" s="49">
        <v>3</v>
      </c>
      <c r="Q10" s="49"/>
      <c r="R10" s="49">
        <v>22</v>
      </c>
      <c r="S10" s="67"/>
      <c r="U10" s="37" t="s">
        <v>27</v>
      </c>
    </row>
    <row r="11" spans="1:26" ht="14" customHeight="1" x14ac:dyDescent="0.25">
      <c r="A11" s="98"/>
      <c r="B11" s="50" t="s">
        <v>26</v>
      </c>
      <c r="C11" s="50">
        <v>30</v>
      </c>
      <c r="D11" s="52">
        <v>30</v>
      </c>
      <c r="E11" s="68">
        <v>30</v>
      </c>
      <c r="F11" s="68"/>
      <c r="G11" s="50"/>
      <c r="H11" s="43"/>
      <c r="I11" s="52"/>
      <c r="J11" s="50"/>
      <c r="K11" s="52"/>
      <c r="L11" s="49"/>
      <c r="N11" s="67"/>
      <c r="O11" s="49">
        <v>15</v>
      </c>
      <c r="P11" s="49"/>
      <c r="Q11" s="49"/>
      <c r="R11" s="49">
        <v>15</v>
      </c>
      <c r="S11" s="67"/>
      <c r="U11" s="37" t="s">
        <v>73</v>
      </c>
    </row>
    <row r="12" spans="1:26" ht="14" customHeight="1" x14ac:dyDescent="0.25">
      <c r="A12" s="98"/>
      <c r="B12" s="50" t="s">
        <v>54</v>
      </c>
      <c r="C12" s="46">
        <v>0.85</v>
      </c>
      <c r="D12" s="47">
        <v>0.85</v>
      </c>
      <c r="E12" s="66">
        <v>0.85</v>
      </c>
      <c r="F12" s="66">
        <v>0.85</v>
      </c>
      <c r="G12" s="72">
        <v>0.13</v>
      </c>
      <c r="H12" s="41">
        <v>0.13</v>
      </c>
      <c r="I12" s="47">
        <v>0.15</v>
      </c>
      <c r="J12" s="72">
        <v>0.28000000000000003</v>
      </c>
      <c r="K12" s="47">
        <f>3767/8760</f>
        <v>0.43002283105022832</v>
      </c>
      <c r="L12" s="47">
        <v>0.9</v>
      </c>
      <c r="N12" s="66">
        <v>0.85</v>
      </c>
      <c r="O12" s="47">
        <v>0.85</v>
      </c>
      <c r="P12" s="47">
        <v>0.85</v>
      </c>
      <c r="Q12" s="47">
        <f>2278/8760</f>
        <v>0.2600456621004566</v>
      </c>
      <c r="R12" s="47">
        <f>5296/8760</f>
        <v>0.60456621004566213</v>
      </c>
      <c r="S12" s="66">
        <v>0.95</v>
      </c>
      <c r="T12" s="34"/>
      <c r="U12" s="37" t="s">
        <v>74</v>
      </c>
    </row>
    <row r="13" spans="1:26" ht="14" customHeight="1" thickBot="1" x14ac:dyDescent="0.3">
      <c r="A13" s="98"/>
      <c r="B13" s="58" t="s">
        <v>47</v>
      </c>
      <c r="C13" s="53">
        <v>7.0000000000000007E-2</v>
      </c>
      <c r="D13" s="55">
        <v>7.0000000000000007E-2</v>
      </c>
      <c r="E13" s="69">
        <v>7.0000000000000007E-2</v>
      </c>
      <c r="F13" s="69">
        <v>7.0000000000000007E-2</v>
      </c>
      <c r="G13" s="53">
        <v>7.0000000000000007E-2</v>
      </c>
      <c r="H13" s="54">
        <v>7.0000000000000007E-2</v>
      </c>
      <c r="I13" s="55">
        <v>7.0000000000000007E-2</v>
      </c>
      <c r="J13" s="53">
        <v>7.0000000000000007E-2</v>
      </c>
      <c r="K13" s="55">
        <v>7.0000000000000007E-2</v>
      </c>
      <c r="L13" s="55">
        <v>7.0000000000000007E-2</v>
      </c>
      <c r="N13" s="69">
        <v>0.05</v>
      </c>
      <c r="O13" s="55">
        <v>0.05</v>
      </c>
      <c r="P13" s="55">
        <v>0.08</v>
      </c>
      <c r="Q13" s="55">
        <v>0.08</v>
      </c>
      <c r="R13" s="55">
        <v>0.08</v>
      </c>
      <c r="S13" s="69">
        <v>7.0000000000000007E-2</v>
      </c>
      <c r="T13" s="34"/>
      <c r="U13" t="s">
        <v>75</v>
      </c>
    </row>
    <row r="14" spans="1:26" ht="14" customHeight="1" thickBot="1" x14ac:dyDescent="0.3">
      <c r="B14" s="33"/>
      <c r="N14" s="67"/>
      <c r="S14" s="67"/>
    </row>
    <row r="15" spans="1:26" ht="14" customHeight="1" x14ac:dyDescent="0.25">
      <c r="A15" s="98" t="s">
        <v>57</v>
      </c>
      <c r="B15" s="74" t="s">
        <v>48</v>
      </c>
      <c r="C15" s="82">
        <f>-PMT(C13,C6,C5)*1000</f>
        <v>55685.20482617784</v>
      </c>
      <c r="D15" s="76">
        <f t="shared" ref="D15:N15" si="0">-PMT(D13,D6,D5)*1000</f>
        <v>81714.613160266745</v>
      </c>
      <c r="E15" s="84">
        <f t="shared" si="0"/>
        <v>169820.69040985376</v>
      </c>
      <c r="F15" s="84">
        <f t="shared" si="0"/>
        <v>348738.28804809519</v>
      </c>
      <c r="G15" s="82">
        <f t="shared" si="0"/>
        <v>197106.75805586894</v>
      </c>
      <c r="H15" s="75">
        <f t="shared" si="0"/>
        <v>145534.63720624891</v>
      </c>
      <c r="I15" s="76">
        <f t="shared" si="0"/>
        <v>123223.90272887582</v>
      </c>
      <c r="J15" s="82">
        <f t="shared" si="0"/>
        <v>154802.17306608081</v>
      </c>
      <c r="K15" s="76">
        <f t="shared" si="0"/>
        <v>381088.46734781761</v>
      </c>
      <c r="L15" s="76">
        <f t="shared" si="0"/>
        <v>351567.85880435834</v>
      </c>
      <c r="M15" s="36"/>
      <c r="N15" s="84">
        <f t="shared" si="0"/>
        <v>124335.87406612399</v>
      </c>
      <c r="O15" s="76">
        <f t="shared" ref="O15:P15" si="1">-PMT(O13,O6,O5)*1000</f>
        <v>88757.639455871293</v>
      </c>
      <c r="P15" s="76">
        <f t="shared" si="1"/>
        <v>236576.39397995448</v>
      </c>
      <c r="Q15" s="76">
        <f t="shared" ref="Q15:S15" si="2">-PMT(Q13,Q6,Q5)*1000</f>
        <v>157099.31247015059</v>
      </c>
      <c r="R15" s="76">
        <f t="shared" si="2"/>
        <v>67775.331674488771</v>
      </c>
      <c r="S15" s="84">
        <f t="shared" si="2"/>
        <v>71.229225500019453</v>
      </c>
      <c r="T15" s="36"/>
    </row>
    <row r="16" spans="1:26" ht="14" customHeight="1" x14ac:dyDescent="0.25">
      <c r="A16" s="98"/>
      <c r="B16" s="50" t="s">
        <v>76</v>
      </c>
      <c r="C16" s="44">
        <f>C10/C4</f>
        <v>94.674999999999983</v>
      </c>
      <c r="D16" s="77">
        <f t="shared" ref="D16:E16" si="3">D10/D4</f>
        <v>64.186440677966104</v>
      </c>
      <c r="E16" s="85">
        <f t="shared" si="3"/>
        <v>32.31111111111111</v>
      </c>
      <c r="F16" s="85">
        <f t="shared" ref="F16:O16" si="4">F10/F4</f>
        <v>9.33</v>
      </c>
      <c r="G16" s="44"/>
      <c r="H16" s="39"/>
      <c r="I16" s="77"/>
      <c r="J16" s="44"/>
      <c r="K16" s="77"/>
      <c r="L16" s="77"/>
      <c r="M16" s="36"/>
      <c r="N16" s="85">
        <f>N10</f>
        <v>18.21</v>
      </c>
      <c r="O16" s="77">
        <f t="shared" si="4"/>
        <v>31.707317073170735</v>
      </c>
      <c r="P16" s="77">
        <f t="shared" ref="P16:R16" si="5">P10/P4</f>
        <v>9.0909090909090899</v>
      </c>
      <c r="Q16" s="77"/>
      <c r="R16" s="77">
        <f t="shared" si="5"/>
        <v>38.596491228070178</v>
      </c>
      <c r="S16" s="85"/>
      <c r="T16" s="36"/>
    </row>
    <row r="17" spans="1:22" ht="14" customHeight="1" x14ac:dyDescent="0.25">
      <c r="A17" s="98"/>
      <c r="B17" s="50" t="s">
        <v>77</v>
      </c>
      <c r="C17" s="71">
        <f>ROUND(C11/1000*C9*3.6/C4,2)</f>
        <v>15.15</v>
      </c>
      <c r="D17" s="45">
        <f>ROUND(D11/1000*D9*3.6/D4,2)</f>
        <v>10.27</v>
      </c>
      <c r="E17" s="65">
        <f>ROUND(E11/1000*E9*3.6/E4,2)</f>
        <v>22.7</v>
      </c>
      <c r="F17" s="65"/>
      <c r="G17" s="71"/>
      <c r="H17" s="40"/>
      <c r="I17" s="45"/>
      <c r="J17" s="71"/>
      <c r="K17" s="45"/>
      <c r="L17" s="45"/>
      <c r="M17" s="35"/>
      <c r="N17" s="65">
        <f>23.96</f>
        <v>23.96</v>
      </c>
      <c r="O17" s="45">
        <f>ROUND(O11/1000*O9*3.6/O4,2)</f>
        <v>12.25</v>
      </c>
      <c r="P17" s="45">
        <f t="shared" ref="P17:R17" si="6">ROUND(P11/1000*P9*3.6/P4,2)</f>
        <v>0</v>
      </c>
      <c r="Q17" s="45"/>
      <c r="R17" s="45">
        <f t="shared" si="6"/>
        <v>5.31</v>
      </c>
      <c r="S17" s="65"/>
      <c r="T17" s="35"/>
    </row>
    <row r="18" spans="1:22" ht="14" customHeight="1" x14ac:dyDescent="0.25">
      <c r="A18" s="98"/>
      <c r="B18" s="50"/>
      <c r="C18" s="48"/>
      <c r="D18" s="49"/>
      <c r="E18" s="67"/>
      <c r="F18" s="67"/>
      <c r="G18" s="48"/>
      <c r="H18" s="42"/>
      <c r="I18" s="49"/>
      <c r="J18" s="48"/>
      <c r="K18" s="49"/>
      <c r="L18" s="49"/>
      <c r="N18" s="67"/>
      <c r="O18" s="49"/>
      <c r="P18" s="49"/>
      <c r="Q18" s="49"/>
      <c r="R18" s="49"/>
      <c r="S18" s="67"/>
    </row>
    <row r="19" spans="1:22" ht="14" customHeight="1" x14ac:dyDescent="0.25">
      <c r="A19" s="98"/>
      <c r="B19" s="78" t="s">
        <v>59</v>
      </c>
      <c r="C19" s="71">
        <f>C8+C16+C17</f>
        <v>110.52499999999999</v>
      </c>
      <c r="D19" s="45">
        <f t="shared" ref="D19:O19" si="7">D8+D16+D17</f>
        <v>77.156440677966103</v>
      </c>
      <c r="E19" s="65">
        <f t="shared" si="7"/>
        <v>58.411111111111111</v>
      </c>
      <c r="F19" s="65">
        <f t="shared" si="7"/>
        <v>16.23</v>
      </c>
      <c r="G19" s="71">
        <f t="shared" si="7"/>
        <v>0</v>
      </c>
      <c r="H19" s="40">
        <f t="shared" si="7"/>
        <v>0</v>
      </c>
      <c r="I19" s="45">
        <f t="shared" si="7"/>
        <v>0</v>
      </c>
      <c r="J19" s="71">
        <f t="shared" si="7"/>
        <v>5.9</v>
      </c>
      <c r="K19" s="45">
        <f t="shared" si="7"/>
        <v>7.6043259892317367</v>
      </c>
      <c r="L19" s="65">
        <f t="shared" ref="L19" si="8">L8+L16+L17</f>
        <v>0</v>
      </c>
      <c r="M19" s="35"/>
      <c r="N19" s="65">
        <f t="shared" ref="N19" si="9">N8+N16+N17</f>
        <v>48.19</v>
      </c>
      <c r="O19" s="45">
        <f t="shared" si="7"/>
        <v>45.957317073170735</v>
      </c>
      <c r="P19" s="65">
        <f t="shared" ref="P19:Q19" si="10">P8+P16+P17</f>
        <v>10.290909090909089</v>
      </c>
      <c r="Q19" s="65">
        <f t="shared" si="10"/>
        <v>14.9</v>
      </c>
      <c r="R19" s="65">
        <f t="shared" ref="R19:S19" si="11">R8+R16+R17</f>
        <v>45.40649122807018</v>
      </c>
      <c r="S19" s="65">
        <f t="shared" si="11"/>
        <v>5.9999999999999995E-4</v>
      </c>
      <c r="T19" s="35"/>
      <c r="U19" s="35"/>
      <c r="V19" s="35"/>
    </row>
    <row r="20" spans="1:22" ht="14" customHeight="1" x14ac:dyDescent="0.25">
      <c r="A20" s="98"/>
      <c r="B20" s="78" t="s">
        <v>58</v>
      </c>
      <c r="C20" s="71">
        <f>C15+C7</f>
        <v>85120.20482617784</v>
      </c>
      <c r="D20" s="45">
        <f t="shared" ref="D20:K20" si="12">D15+D7</f>
        <v>111149.61316026674</v>
      </c>
      <c r="E20" s="65">
        <f t="shared" si="12"/>
        <v>204362.69040985376</v>
      </c>
      <c r="F20" s="65">
        <f t="shared" si="12"/>
        <v>417538.28804809519</v>
      </c>
      <c r="G20" s="71">
        <f t="shared" si="12"/>
        <v>225439.75805586894</v>
      </c>
      <c r="H20" s="40">
        <f t="shared" si="12"/>
        <v>167404.63720624891</v>
      </c>
      <c r="I20" s="45">
        <f t="shared" si="12"/>
        <v>149890.90272887581</v>
      </c>
      <c r="J20" s="71">
        <f t="shared" si="12"/>
        <v>200277.17306608081</v>
      </c>
      <c r="K20" s="45">
        <f t="shared" si="12"/>
        <v>439699.77656143002</v>
      </c>
      <c r="L20" s="65">
        <f t="shared" ref="L20" si="13">L15+L7</f>
        <v>451567.85880435834</v>
      </c>
      <c r="M20" s="35"/>
      <c r="N20" s="65">
        <f t="shared" ref="N20" si="14">N15+N7</f>
        <v>124335.87406612399</v>
      </c>
      <c r="O20" s="45">
        <f t="shared" ref="O20:P20" si="15">O15+O7</f>
        <v>103757.63945587129</v>
      </c>
      <c r="P20" s="65">
        <f t="shared" si="15"/>
        <v>301576.39397995448</v>
      </c>
      <c r="Q20" s="65">
        <f t="shared" ref="Q20:S20" si="16">Q15+Q7</f>
        <v>157099.31247015059</v>
      </c>
      <c r="R20" s="65">
        <f t="shared" si="16"/>
        <v>78775.331674488771</v>
      </c>
      <c r="S20" s="65">
        <f t="shared" si="16"/>
        <v>81.229225500019453</v>
      </c>
      <c r="T20" s="35"/>
    </row>
    <row r="21" spans="1:22" ht="14" customHeight="1" x14ac:dyDescent="0.25">
      <c r="A21" s="98"/>
      <c r="B21" s="50"/>
      <c r="C21" s="71"/>
      <c r="D21" s="45"/>
      <c r="E21" s="65"/>
      <c r="F21" s="65"/>
      <c r="G21" s="71"/>
      <c r="H21" s="40"/>
      <c r="I21" s="45"/>
      <c r="J21" s="71"/>
      <c r="K21" s="45"/>
      <c r="L21" s="65"/>
      <c r="M21" s="35"/>
      <c r="N21" s="65"/>
      <c r="O21" s="45"/>
      <c r="P21" s="65"/>
      <c r="Q21" s="65"/>
      <c r="R21" s="65"/>
      <c r="S21" s="65"/>
      <c r="T21" s="35"/>
    </row>
    <row r="22" spans="1:22" ht="14" customHeight="1" x14ac:dyDescent="0.25">
      <c r="A22" s="98"/>
      <c r="B22" s="50" t="s">
        <v>45</v>
      </c>
      <c r="C22" s="71">
        <f>C20/(C12*8760)</f>
        <v>11.431668657826732</v>
      </c>
      <c r="D22" s="45">
        <f t="shared" ref="D22:O22" si="17">D20/(D12*8760)</f>
        <v>14.927425887760776</v>
      </c>
      <c r="E22" s="65">
        <f t="shared" si="17"/>
        <v>27.445969703176708</v>
      </c>
      <c r="F22" s="65">
        <f t="shared" si="17"/>
        <v>56.075515450993173</v>
      </c>
      <c r="G22" s="71">
        <f t="shared" si="17"/>
        <v>197.96255537045042</v>
      </c>
      <c r="H22" s="40">
        <f t="shared" si="17"/>
        <v>147.00091078876792</v>
      </c>
      <c r="I22" s="45">
        <f t="shared" si="17"/>
        <v>114.07222429899224</v>
      </c>
      <c r="J22" s="71">
        <f t="shared" si="17"/>
        <v>81.652467818852244</v>
      </c>
      <c r="K22" s="45">
        <f t="shared" si="17"/>
        <v>116.72412438583223</v>
      </c>
      <c r="L22" s="65">
        <f t="shared" ref="L22" si="18">L20/(L12*8760)</f>
        <v>57.276491476960722</v>
      </c>
      <c r="M22" s="35"/>
      <c r="N22" s="65">
        <f t="shared" ref="N22" si="19">N20/(N12*8760)</f>
        <v>16.698344623438622</v>
      </c>
      <c r="O22" s="45">
        <f t="shared" si="17"/>
        <v>13.934681635223113</v>
      </c>
      <c r="P22" s="65">
        <f t="shared" ref="P22:Q22" si="20">P20/(P12*8760)</f>
        <v>40.501798815465278</v>
      </c>
      <c r="Q22" s="65">
        <f t="shared" si="20"/>
        <v>68.963701698924751</v>
      </c>
      <c r="R22" s="65">
        <f t="shared" ref="R22:S22" si="21">R20/(R12*8760)</f>
        <v>14.874496162101353</v>
      </c>
      <c r="S22" s="65">
        <f t="shared" si="21"/>
        <v>9.760781723145812E-3</v>
      </c>
      <c r="T22" s="89"/>
    </row>
    <row r="23" spans="1:22" ht="14" customHeight="1" thickBot="1" x14ac:dyDescent="0.3">
      <c r="A23" s="98"/>
      <c r="B23" s="48"/>
      <c r="C23" s="48"/>
      <c r="D23" s="49"/>
      <c r="E23" s="67"/>
      <c r="F23" s="67"/>
      <c r="G23" s="48"/>
      <c r="H23" s="42"/>
      <c r="I23" s="49"/>
      <c r="J23" s="48"/>
      <c r="K23" s="49"/>
      <c r="L23" s="67"/>
      <c r="N23" s="67"/>
      <c r="O23" s="49"/>
      <c r="P23" s="67"/>
      <c r="Q23" s="67"/>
      <c r="R23" s="67"/>
      <c r="S23" s="67"/>
    </row>
    <row r="24" spans="1:22" ht="39.5" thickBot="1" x14ac:dyDescent="0.35">
      <c r="A24" s="98"/>
      <c r="B24" s="79" t="s">
        <v>55</v>
      </c>
      <c r="C24" s="83">
        <f>C19+C22</f>
        <v>121.95666865782673</v>
      </c>
      <c r="D24" s="81">
        <f t="shared" ref="D24:O24" si="22">D19+D22</f>
        <v>92.083866565726879</v>
      </c>
      <c r="E24" s="86">
        <f t="shared" si="22"/>
        <v>85.857080814287826</v>
      </c>
      <c r="F24" s="86">
        <f t="shared" si="22"/>
        <v>72.30551545099317</v>
      </c>
      <c r="G24" s="83">
        <f t="shared" si="22"/>
        <v>197.96255537045042</v>
      </c>
      <c r="H24" s="80">
        <f t="shared" si="22"/>
        <v>147.00091078876792</v>
      </c>
      <c r="I24" s="81">
        <f t="shared" si="22"/>
        <v>114.07222429899224</v>
      </c>
      <c r="J24" s="83">
        <f t="shared" si="22"/>
        <v>87.55246781885225</v>
      </c>
      <c r="K24" s="81">
        <f t="shared" si="22"/>
        <v>124.32845037506397</v>
      </c>
      <c r="L24" s="86">
        <f t="shared" ref="L24" si="23">L19+L22</f>
        <v>57.276491476960722</v>
      </c>
      <c r="M24" s="38"/>
      <c r="N24" s="86">
        <f t="shared" ref="N24" si="24">N19+N22</f>
        <v>64.888344623438627</v>
      </c>
      <c r="O24" s="81">
        <f t="shared" si="22"/>
        <v>59.891998708393849</v>
      </c>
      <c r="P24" s="86">
        <f t="shared" ref="P24:Q24" si="25">P19+P22</f>
        <v>50.792707906374368</v>
      </c>
      <c r="Q24" s="86">
        <f t="shared" si="25"/>
        <v>83.863701698924757</v>
      </c>
      <c r="R24" s="86">
        <f t="shared" ref="R24:S24" si="26">R19+R22</f>
        <v>60.280987390171532</v>
      </c>
      <c r="S24" s="86">
        <f t="shared" si="26"/>
        <v>1.0360781723145812E-2</v>
      </c>
      <c r="T24" s="91"/>
    </row>
    <row r="26" spans="1:22" x14ac:dyDescent="0.25">
      <c r="Q26" t="s">
        <v>83</v>
      </c>
      <c r="R26" t="s">
        <v>84</v>
      </c>
      <c r="S26" s="90">
        <f>S24*1000</f>
        <v>10.360781723145811</v>
      </c>
    </row>
    <row r="27" spans="1:22" x14ac:dyDescent="0.25">
      <c r="R27" t="s">
        <v>85</v>
      </c>
      <c r="S27" s="38">
        <f>S26/0.61</f>
        <v>16.98488807073084</v>
      </c>
    </row>
  </sheetData>
  <mergeCells count="6">
    <mergeCell ref="O1:R1"/>
    <mergeCell ref="C1:D1"/>
    <mergeCell ref="G1:I1"/>
    <mergeCell ref="J1:K1"/>
    <mergeCell ref="A3:A13"/>
    <mergeCell ref="A15:A24"/>
  </mergeCells>
  <conditionalFormatting sqref="B24:K24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{028B0999-046F-4900-A20E-9786F9782F27}</x14:id>
        </ext>
      </extLst>
    </cfRule>
  </conditionalFormatting>
  <conditionalFormatting sqref="C20:K20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{2C5176BC-B2C5-4D7B-BF0A-524493CA1915}</x14:id>
        </ext>
      </extLst>
    </cfRule>
  </conditionalFormatting>
  <conditionalFormatting sqref="C19:K19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{72170CB6-6F67-42B2-AD03-F9311C9E0859}</x14:id>
        </ext>
      </extLst>
    </cfRule>
  </conditionalFormatting>
  <conditionalFormatting sqref="L20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{AB508C77-AFC2-4BB0-9C36-4700F47F2DBE}</x14:id>
        </ext>
      </extLst>
    </cfRule>
  </conditionalFormatting>
  <conditionalFormatting sqref="L19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{65F4E94F-D437-4BC1-BA16-50191EB4B071}</x14:id>
        </ext>
      </extLst>
    </cfRule>
  </conditionalFormatting>
  <conditionalFormatting sqref="L24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{3AA19E08-D34E-4C75-BB1C-288CFCDFFF51}</x14:id>
        </ext>
      </extLst>
    </cfRule>
  </conditionalFormatting>
  <conditionalFormatting sqref="C24:L24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{76C2DE74-7D42-4875-95B4-95FB414254CF}</x14:id>
        </ext>
      </extLst>
    </cfRule>
  </conditionalFormatting>
  <conditionalFormatting sqref="C20:L20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{E460D7DA-E35D-4C57-A730-B81B424C85A7}</x14:id>
        </ext>
      </extLst>
    </cfRule>
  </conditionalFormatting>
  <conditionalFormatting sqref="C19:L19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{AE4C9637-DE11-4198-B621-422E8E3FFFF3}</x14:id>
        </ext>
      </extLst>
    </cfRule>
  </conditionalFormatting>
  <conditionalFormatting sqref="N20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{71FA9002-1D71-4FA0-9336-360053494D8D}</x14:id>
        </ext>
      </extLst>
    </cfRule>
  </conditionalFormatting>
  <conditionalFormatting sqref="N19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{55BB8A64-1C9C-4983-B893-9B184B3C8A2A}</x14:id>
        </ext>
      </extLst>
    </cfRule>
  </conditionalFormatting>
  <conditionalFormatting sqref="N24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{28518897-2B4B-46DC-B8EE-D999A54F4466}</x14:id>
        </ext>
      </extLst>
    </cfRule>
  </conditionalFormatting>
  <conditionalFormatting sqref="N24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{F07CCA84-53BD-4EC0-B3BD-F7D513C40791}</x14:id>
        </ext>
      </extLst>
    </cfRule>
  </conditionalFormatting>
  <conditionalFormatting sqref="N20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{909F05B3-192B-4245-AEE7-27D0906370B1}</x14:id>
        </ext>
      </extLst>
    </cfRule>
  </conditionalFormatting>
  <conditionalFormatting sqref="N1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{74F8321C-D858-410E-ABA9-DAE2A0558518}</x14:id>
        </ext>
      </extLst>
    </cfRule>
  </conditionalFormatting>
  <conditionalFormatting sqref="O20:R20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{C5F7EFE5-B6D3-4968-BC1E-6EA223211925}</x14:id>
        </ext>
      </extLst>
    </cfRule>
  </conditionalFormatting>
  <conditionalFormatting sqref="O19:R19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{21A87376-C8DB-4FA7-9F1A-754737F17CB2}</x14:id>
        </ext>
      </extLst>
    </cfRule>
  </conditionalFormatting>
  <conditionalFormatting sqref="O24:R24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{D8590F41-F4DB-4CB0-9E3D-1BF1E711ACB1}</x14:id>
        </ext>
      </extLst>
    </cfRule>
  </conditionalFormatting>
  <conditionalFormatting sqref="O24:R24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{A6F79B0F-F4D8-47C8-9D7E-A6D28215BAF8}</x14:id>
        </ext>
      </extLst>
    </cfRule>
  </conditionalFormatting>
  <conditionalFormatting sqref="O20:R2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{F0F5C09C-F686-4CFB-A654-DE9C962CF8A0}</x14:id>
        </ext>
      </extLst>
    </cfRule>
  </conditionalFormatting>
  <conditionalFormatting sqref="O19:R1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{F9D6F522-EDF6-4107-8B75-CADEA44DB263}</x14:id>
        </ext>
      </extLst>
    </cfRule>
  </conditionalFormatting>
  <conditionalFormatting sqref="S2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{39AA2B45-EE11-41C9-858D-B64646B7E596}</x14:id>
        </ext>
      </extLst>
    </cfRule>
  </conditionalFormatting>
  <conditionalFormatting sqref="S1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{B9E6478F-41E2-40E1-A308-92D9ADC8B4F0}</x14:id>
        </ext>
      </extLst>
    </cfRule>
  </conditionalFormatting>
  <conditionalFormatting sqref="S2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{EBB9C2C9-410C-4C95-85ED-D7662056E4B1}</x14:id>
        </ext>
      </extLst>
    </cfRule>
  </conditionalFormatting>
  <conditionalFormatting sqref="S2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{7E4F173C-2086-4AA0-8208-3CCF964DA193}</x14:id>
        </ext>
      </extLst>
    </cfRule>
  </conditionalFormatting>
  <conditionalFormatting sqref="S2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{BDBDE330-7572-4EC9-8866-6E7E89EA91FF}</x14:id>
        </ext>
      </extLst>
    </cfRule>
  </conditionalFormatting>
  <conditionalFormatting sqref="S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{E19520A7-1295-4735-9F06-43B03BAD09EB}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8B0999-046F-4900-A20E-9786F9782F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B24:K24</xm:sqref>
        </x14:conditionalFormatting>
        <x14:conditionalFormatting xmlns:xm="http://schemas.microsoft.com/office/excel/2006/main">
          <x14:cfRule type="dataBar" id="{2C5176BC-B2C5-4D7B-BF0A-524493CA19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C20:K20</xm:sqref>
        </x14:conditionalFormatting>
        <x14:conditionalFormatting xmlns:xm="http://schemas.microsoft.com/office/excel/2006/main">
          <x14:cfRule type="dataBar" id="{72170CB6-6F67-42B2-AD03-F9311C9E085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C19:K19</xm:sqref>
        </x14:conditionalFormatting>
        <x14:conditionalFormatting xmlns:xm="http://schemas.microsoft.com/office/excel/2006/main">
          <x14:cfRule type="dataBar" id="{AB508C77-AFC2-4BB0-9C36-4700F47F2DB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L20</xm:sqref>
        </x14:conditionalFormatting>
        <x14:conditionalFormatting xmlns:xm="http://schemas.microsoft.com/office/excel/2006/main">
          <x14:cfRule type="dataBar" id="{65F4E94F-D437-4BC1-BA16-50191EB4B0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L19</xm:sqref>
        </x14:conditionalFormatting>
        <x14:conditionalFormatting xmlns:xm="http://schemas.microsoft.com/office/excel/2006/main">
          <x14:cfRule type="dataBar" id="{3AA19E08-D34E-4C75-BB1C-288CFCDFFF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L24</xm:sqref>
        </x14:conditionalFormatting>
        <x14:conditionalFormatting xmlns:xm="http://schemas.microsoft.com/office/excel/2006/main">
          <x14:cfRule type="dataBar" id="{76C2DE74-7D42-4875-95B4-95FB414254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C24:L24</xm:sqref>
        </x14:conditionalFormatting>
        <x14:conditionalFormatting xmlns:xm="http://schemas.microsoft.com/office/excel/2006/main">
          <x14:cfRule type="dataBar" id="{E460D7DA-E35D-4C57-A730-B81B424C85A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C20:L20</xm:sqref>
        </x14:conditionalFormatting>
        <x14:conditionalFormatting xmlns:xm="http://schemas.microsoft.com/office/excel/2006/main">
          <x14:cfRule type="dataBar" id="{AE4C9637-DE11-4198-B621-422E8E3FFF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C19:L19</xm:sqref>
        </x14:conditionalFormatting>
        <x14:conditionalFormatting xmlns:xm="http://schemas.microsoft.com/office/excel/2006/main">
          <x14:cfRule type="dataBar" id="{71FA9002-1D71-4FA0-9336-360053494D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N20</xm:sqref>
        </x14:conditionalFormatting>
        <x14:conditionalFormatting xmlns:xm="http://schemas.microsoft.com/office/excel/2006/main">
          <x14:cfRule type="dataBar" id="{55BB8A64-1C9C-4983-B893-9B184B3C8A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N19</xm:sqref>
        </x14:conditionalFormatting>
        <x14:conditionalFormatting xmlns:xm="http://schemas.microsoft.com/office/excel/2006/main">
          <x14:cfRule type="dataBar" id="{28518897-2B4B-46DC-B8EE-D999A54F44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N24</xm:sqref>
        </x14:conditionalFormatting>
        <x14:conditionalFormatting xmlns:xm="http://schemas.microsoft.com/office/excel/2006/main">
          <x14:cfRule type="dataBar" id="{F07CCA84-53BD-4EC0-B3BD-F7D513C4079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N24</xm:sqref>
        </x14:conditionalFormatting>
        <x14:conditionalFormatting xmlns:xm="http://schemas.microsoft.com/office/excel/2006/main">
          <x14:cfRule type="dataBar" id="{909F05B3-192B-4245-AEE7-27D0906370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N20</xm:sqref>
        </x14:conditionalFormatting>
        <x14:conditionalFormatting xmlns:xm="http://schemas.microsoft.com/office/excel/2006/main">
          <x14:cfRule type="dataBar" id="{74F8321C-D858-410E-ABA9-DAE2A055851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N19</xm:sqref>
        </x14:conditionalFormatting>
        <x14:conditionalFormatting xmlns:xm="http://schemas.microsoft.com/office/excel/2006/main">
          <x14:cfRule type="dataBar" id="{C5F7EFE5-B6D3-4968-BC1E-6EA2232119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O20:R20</xm:sqref>
        </x14:conditionalFormatting>
        <x14:conditionalFormatting xmlns:xm="http://schemas.microsoft.com/office/excel/2006/main">
          <x14:cfRule type="dataBar" id="{21A87376-C8DB-4FA7-9F1A-754737F17C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O19:R19</xm:sqref>
        </x14:conditionalFormatting>
        <x14:conditionalFormatting xmlns:xm="http://schemas.microsoft.com/office/excel/2006/main">
          <x14:cfRule type="dataBar" id="{D8590F41-F4DB-4CB0-9E3D-1BF1E711AC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O24:R24</xm:sqref>
        </x14:conditionalFormatting>
        <x14:conditionalFormatting xmlns:xm="http://schemas.microsoft.com/office/excel/2006/main">
          <x14:cfRule type="dataBar" id="{A6F79B0F-F4D8-47C8-9D7E-A6D28215BAF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O24:R24</xm:sqref>
        </x14:conditionalFormatting>
        <x14:conditionalFormatting xmlns:xm="http://schemas.microsoft.com/office/excel/2006/main">
          <x14:cfRule type="dataBar" id="{F0F5C09C-F686-4CFB-A654-DE9C962CF8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O20:R20</xm:sqref>
        </x14:conditionalFormatting>
        <x14:conditionalFormatting xmlns:xm="http://schemas.microsoft.com/office/excel/2006/main">
          <x14:cfRule type="dataBar" id="{F9D6F522-EDF6-4107-8B75-CADEA44DB2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O19:R19</xm:sqref>
        </x14:conditionalFormatting>
        <x14:conditionalFormatting xmlns:xm="http://schemas.microsoft.com/office/excel/2006/main">
          <x14:cfRule type="dataBar" id="{39AA2B45-EE11-41C9-858D-B64646B7E5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S20</xm:sqref>
        </x14:conditionalFormatting>
        <x14:conditionalFormatting xmlns:xm="http://schemas.microsoft.com/office/excel/2006/main">
          <x14:cfRule type="dataBar" id="{B9E6478F-41E2-40E1-A308-92D9ADC8B4F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S19</xm:sqref>
        </x14:conditionalFormatting>
        <x14:conditionalFormatting xmlns:xm="http://schemas.microsoft.com/office/excel/2006/main">
          <x14:cfRule type="dataBar" id="{EBB9C2C9-410C-4C95-85ED-D7662056E4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S24</xm:sqref>
        </x14:conditionalFormatting>
        <x14:conditionalFormatting xmlns:xm="http://schemas.microsoft.com/office/excel/2006/main">
          <x14:cfRule type="dataBar" id="{7E4F173C-2086-4AA0-8208-3CCF964DA1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S24</xm:sqref>
        </x14:conditionalFormatting>
        <x14:conditionalFormatting xmlns:xm="http://schemas.microsoft.com/office/excel/2006/main">
          <x14:cfRule type="dataBar" id="{BDBDE330-7572-4EC9-8866-6E7E89EA91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S20</xm:sqref>
        </x14:conditionalFormatting>
        <x14:conditionalFormatting xmlns:xm="http://schemas.microsoft.com/office/excel/2006/main">
          <x14:cfRule type="dataBar" id="{E19520A7-1295-4735-9F06-43B03BAD09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C11" sqref="C11"/>
    </sheetView>
  </sheetViews>
  <sheetFormatPr baseColWidth="10" defaultColWidth="14.453125" defaultRowHeight="15.75" customHeight="1" x14ac:dyDescent="0.25"/>
  <cols>
    <col min="1" max="1" width="23.453125" customWidth="1"/>
    <col min="2" max="4" width="13.453125" customWidth="1"/>
    <col min="5" max="5" width="23.54296875" customWidth="1"/>
    <col min="6" max="9" width="11.7265625" customWidth="1"/>
    <col min="10" max="10" width="14.90625" customWidth="1"/>
  </cols>
  <sheetData>
    <row r="1" spans="1:10" ht="15.75" customHeight="1" x14ac:dyDescent="0.25">
      <c r="E1" s="18"/>
      <c r="F1" s="92" t="s">
        <v>8</v>
      </c>
      <c r="G1" s="92"/>
      <c r="H1" s="92" t="s">
        <v>11</v>
      </c>
      <c r="I1" s="92"/>
      <c r="J1" s="19" t="s">
        <v>15</v>
      </c>
    </row>
    <row r="2" spans="1:10" ht="34" customHeight="1" x14ac:dyDescent="0.25">
      <c r="A2" s="1" t="s">
        <v>0</v>
      </c>
      <c r="B2" s="4" t="s">
        <v>13</v>
      </c>
      <c r="C2" s="4" t="s">
        <v>12</v>
      </c>
      <c r="D2" s="11" t="s">
        <v>14</v>
      </c>
      <c r="E2" s="20" t="str">
        <f>A2</f>
        <v xml:space="preserve">Plant </v>
      </c>
      <c r="F2" s="14" t="s">
        <v>9</v>
      </c>
      <c r="G2" s="14" t="s">
        <v>10</v>
      </c>
      <c r="H2" s="15" t="s">
        <v>9</v>
      </c>
      <c r="I2" s="14" t="s">
        <v>10</v>
      </c>
      <c r="J2" s="8" t="s">
        <v>10</v>
      </c>
    </row>
    <row r="3" spans="1:10" ht="15.75" customHeight="1" x14ac:dyDescent="0.25">
      <c r="A3" s="1" t="s">
        <v>1</v>
      </c>
      <c r="B3" s="2">
        <v>1.7290000000000001</v>
      </c>
      <c r="C3" s="5">
        <v>23.88</v>
      </c>
      <c r="D3" s="12">
        <v>4.16</v>
      </c>
      <c r="E3" s="20" t="str">
        <f>A3</f>
        <v>Advanced Nuclear</v>
      </c>
      <c r="F3" s="16">
        <f>B3*1000000/40+C3*8660</f>
        <v>250025.8</v>
      </c>
      <c r="G3" s="17">
        <f>D3</f>
        <v>4.16</v>
      </c>
      <c r="H3" s="16">
        <f>C3*8660</f>
        <v>206800.8</v>
      </c>
      <c r="I3" s="17">
        <f>D3</f>
        <v>4.16</v>
      </c>
      <c r="J3" s="9">
        <f>I3</f>
        <v>4.16</v>
      </c>
    </row>
    <row r="4" spans="1:10" ht="15.75" customHeight="1" x14ac:dyDescent="0.25">
      <c r="A4" s="1" t="s">
        <v>2</v>
      </c>
      <c r="B4" s="1">
        <v>1.0209999999999999</v>
      </c>
      <c r="C4" s="6">
        <v>14.1</v>
      </c>
      <c r="D4" s="13">
        <v>11.77</v>
      </c>
      <c r="E4" s="20" t="str">
        <f t="shared" ref="E4:E7" si="0">A4</f>
        <v xml:space="preserve">Coal </v>
      </c>
      <c r="F4" s="16">
        <f t="shared" ref="F4:F7" si="1">B4*1000000/40+C4*8660</f>
        <v>147631</v>
      </c>
      <c r="G4" s="17">
        <f t="shared" ref="G4:G7" si="2">D4</f>
        <v>11.77</v>
      </c>
      <c r="H4" s="16">
        <f t="shared" ref="H4:H7" si="3">C4*8660</f>
        <v>122106</v>
      </c>
      <c r="I4" s="17">
        <f t="shared" ref="I4:I7" si="4">D4</f>
        <v>11.77</v>
      </c>
      <c r="J4" s="9">
        <f t="shared" ref="J4:J7" si="5">I4</f>
        <v>11.77</v>
      </c>
    </row>
    <row r="5" spans="1:10" ht="15.75" customHeight="1" x14ac:dyDescent="0.25">
      <c r="A5" s="1" t="s">
        <v>3</v>
      </c>
      <c r="B5" s="1">
        <v>0.91900000000000004</v>
      </c>
      <c r="C5" s="6">
        <v>13.85</v>
      </c>
      <c r="D5" s="13">
        <v>5</v>
      </c>
      <c r="E5" s="20" t="str">
        <f t="shared" si="0"/>
        <v>Wind Turbine</v>
      </c>
      <c r="F5" s="16">
        <f t="shared" si="1"/>
        <v>142916</v>
      </c>
      <c r="G5" s="17">
        <f t="shared" si="2"/>
        <v>5</v>
      </c>
      <c r="H5" s="16">
        <f t="shared" si="3"/>
        <v>119941</v>
      </c>
      <c r="I5" s="17">
        <f t="shared" si="4"/>
        <v>5</v>
      </c>
      <c r="J5" s="9">
        <f t="shared" si="5"/>
        <v>5</v>
      </c>
    </row>
    <row r="6" spans="1:10" ht="15.75" customHeight="1" x14ac:dyDescent="0.25">
      <c r="A6" s="1" t="s">
        <v>4</v>
      </c>
      <c r="B6" s="1">
        <v>0.53300000000000003</v>
      </c>
      <c r="C6" s="6">
        <v>7.36</v>
      </c>
      <c r="D6" s="12">
        <v>20.78</v>
      </c>
      <c r="E6" s="20" t="str">
        <f t="shared" si="0"/>
        <v>Gas Turbine (Comb. Cycle)</v>
      </c>
      <c r="F6" s="16">
        <f t="shared" si="1"/>
        <v>77062.600000000006</v>
      </c>
      <c r="G6" s="17">
        <f t="shared" si="2"/>
        <v>20.78</v>
      </c>
      <c r="H6" s="16">
        <f t="shared" si="3"/>
        <v>63737.600000000006</v>
      </c>
      <c r="I6" s="17">
        <f t="shared" si="4"/>
        <v>20.78</v>
      </c>
      <c r="J6" s="9">
        <f t="shared" si="5"/>
        <v>20.78</v>
      </c>
    </row>
    <row r="7" spans="1:10" ht="15.75" customHeight="1" thickBot="1" x14ac:dyDescent="0.3">
      <c r="A7" s="1" t="s">
        <v>5</v>
      </c>
      <c r="B7" s="1">
        <v>0.315</v>
      </c>
      <c r="C7" s="6">
        <v>4.75</v>
      </c>
      <c r="D7" s="13">
        <v>34.4</v>
      </c>
      <c r="E7" s="21" t="str">
        <f t="shared" si="0"/>
        <v>Gas Turbine (Simplex)</v>
      </c>
      <c r="F7" s="22">
        <f t="shared" si="1"/>
        <v>49010</v>
      </c>
      <c r="G7" s="23">
        <f t="shared" si="2"/>
        <v>34.4</v>
      </c>
      <c r="H7" s="22">
        <f t="shared" si="3"/>
        <v>41135</v>
      </c>
      <c r="I7" s="23">
        <f t="shared" si="4"/>
        <v>34.4</v>
      </c>
      <c r="J7" s="10">
        <f t="shared" si="5"/>
        <v>34.4</v>
      </c>
    </row>
    <row r="8" spans="1:10" ht="15.75" customHeight="1" x14ac:dyDescent="0.25">
      <c r="A8" s="7" t="s">
        <v>7</v>
      </c>
    </row>
    <row r="10" spans="1:10" ht="15.75" customHeight="1" x14ac:dyDescent="0.25">
      <c r="A10" s="3" t="s">
        <v>6</v>
      </c>
    </row>
  </sheetData>
  <mergeCells count="2">
    <mergeCell ref="F1:G1"/>
    <mergeCell ref="H1:I1"/>
  </mergeCells>
  <hyperlinks>
    <hyperlink ref="A8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9" sqref="D19"/>
    </sheetView>
  </sheetViews>
  <sheetFormatPr baseColWidth="10" defaultRowHeight="12.5" x14ac:dyDescent="0.25"/>
  <cols>
    <col min="2" max="2" width="13.453125" customWidth="1"/>
    <col min="3" max="3" width="13.81640625" customWidth="1"/>
  </cols>
  <sheetData>
    <row r="1" spans="1:4" ht="41.5" customHeight="1" x14ac:dyDescent="0.25">
      <c r="A1" s="18"/>
      <c r="B1" s="26" t="s">
        <v>19</v>
      </c>
      <c r="C1" s="26" t="s">
        <v>20</v>
      </c>
      <c r="D1" s="27" t="s">
        <v>21</v>
      </c>
    </row>
    <row r="2" spans="1:4" x14ac:dyDescent="0.25">
      <c r="A2" s="20" t="s">
        <v>16</v>
      </c>
      <c r="B2" s="24" t="s">
        <v>22</v>
      </c>
      <c r="C2" s="25">
        <v>0.02</v>
      </c>
      <c r="D2" s="28">
        <v>0.9</v>
      </c>
    </row>
    <row r="3" spans="1:4" x14ac:dyDescent="0.25">
      <c r="A3" s="20" t="s">
        <v>17</v>
      </c>
      <c r="B3" s="24" t="s">
        <v>23</v>
      </c>
      <c r="C3" s="25">
        <v>0.2</v>
      </c>
      <c r="D3" s="29" t="s">
        <v>24</v>
      </c>
    </row>
    <row r="4" spans="1:4" ht="13" thickBot="1" x14ac:dyDescent="0.3">
      <c r="A4" s="21" t="s">
        <v>18</v>
      </c>
      <c r="B4" s="30">
        <v>2</v>
      </c>
      <c r="C4" s="31"/>
      <c r="D4" s="32">
        <v>0.19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IEA 2015 median case</vt:lpstr>
      <vt:lpstr>Metu</vt:lpstr>
      <vt:lpstr>Irena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OMONT Nicolas</cp:lastModifiedBy>
  <dcterms:modified xsi:type="dcterms:W3CDTF">2017-12-19T11:54:48Z</dcterms:modified>
</cp:coreProperties>
</file>